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anguschemicalcompany-my.sharepoint.com/personal/afranzen_expressionsystems_com/Documents/"/>
    </mc:Choice>
  </mc:AlternateContent>
  <xr:revisionPtr revIDLastSave="0" documentId="8_{F8A5F32E-BB5F-499D-8A4A-0EFD265F1868}" xr6:coauthVersionLast="47" xr6:coauthVersionMax="47" xr10:uidLastSave="{00000000-0000-0000-0000-000000000000}"/>
  <bookViews>
    <workbookView xWindow="28680" yWindow="-120" windowWidth="29040" windowHeight="15720" xr2:uid="{25D978FA-A2E4-4D27-8F67-ADC1EF238CE4}"/>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1" l="1"/>
  <c r="Q30" i="1"/>
  <c r="Q21" i="1"/>
  <c r="O57" i="1"/>
  <c r="O56" i="1"/>
  <c r="O55" i="1"/>
  <c r="O54" i="1"/>
  <c r="O53" i="1"/>
  <c r="O52" i="1"/>
  <c r="O66" i="1"/>
  <c r="O65" i="1"/>
  <c r="O64" i="1"/>
  <c r="O63" i="1"/>
  <c r="O62" i="1"/>
  <c r="O61" i="1"/>
  <c r="O43" i="1"/>
  <c r="O34" i="1"/>
  <c r="Q34" i="1" s="1"/>
  <c r="O25" i="1"/>
  <c r="O16" i="1"/>
  <c r="O48" i="1"/>
  <c r="O47" i="1"/>
  <c r="O46" i="1"/>
  <c r="O45" i="1"/>
  <c r="O44" i="1"/>
  <c r="O39" i="1"/>
  <c r="O38" i="1"/>
  <c r="O37" i="1"/>
  <c r="O36" i="1"/>
  <c r="O35" i="1"/>
  <c r="O30" i="1"/>
  <c r="O29" i="1"/>
  <c r="O28" i="1"/>
  <c r="O27" i="1"/>
  <c r="O26" i="1"/>
  <c r="O21" i="1"/>
  <c r="O20" i="1"/>
  <c r="O19" i="1"/>
  <c r="O18" i="1"/>
  <c r="O17" i="1"/>
  <c r="C37" i="1"/>
  <c r="C39" i="1" s="1"/>
  <c r="C36" i="1"/>
  <c r="E30" i="1"/>
  <c r="E29" i="1"/>
  <c r="E28" i="1"/>
  <c r="E27" i="1"/>
  <c r="B40" i="1" s="1"/>
  <c r="E26" i="1"/>
  <c r="E25" i="1"/>
  <c r="B36" i="1" s="1"/>
  <c r="E18" i="1"/>
  <c r="E17" i="1"/>
  <c r="E19" i="1"/>
  <c r="B41" i="1" s="1"/>
  <c r="E20" i="1"/>
  <c r="B43" i="1" s="1"/>
  <c r="E21" i="1"/>
  <c r="E16" i="1"/>
  <c r="Q52" i="1" l="1"/>
  <c r="Q62" i="1"/>
  <c r="Q54" i="1"/>
  <c r="Q63" i="1"/>
  <c r="Q55" i="1"/>
  <c r="Q56" i="1"/>
  <c r="Q44" i="1"/>
  <c r="Q26" i="1"/>
  <c r="Q65" i="1"/>
  <c r="Q37" i="1"/>
  <c r="Q53" i="1"/>
  <c r="Q25" i="1"/>
  <c r="Q38" i="1"/>
  <c r="Q48" i="1"/>
  <c r="Q35" i="1"/>
  <c r="Q39" i="1"/>
  <c r="Q29" i="1"/>
  <c r="Q45" i="1"/>
  <c r="Q47" i="1"/>
  <c r="Q27" i="1"/>
  <c r="Q43" i="1"/>
  <c r="Q57" i="1"/>
  <c r="Q64" i="1"/>
  <c r="Q61" i="1"/>
  <c r="Q66" i="1"/>
  <c r="Q46" i="1"/>
  <c r="Q36" i="1"/>
  <c r="Q28" i="1"/>
  <c r="Q17" i="1"/>
  <c r="Q16" i="1"/>
  <c r="Q18" i="1"/>
  <c r="Q19" i="1"/>
  <c r="Q20" i="1"/>
  <c r="B37" i="1"/>
  <c r="B39" i="1"/>
  <c r="C40" i="1"/>
  <c r="C41" i="1"/>
  <c r="C38" i="1"/>
  <c r="B42" i="1"/>
  <c r="B44" i="1"/>
  <c r="B38" i="1"/>
  <c r="C43" i="1" l="1"/>
  <c r="C44" i="1" s="1"/>
  <c r="C42" i="1"/>
  <c r="A64" i="1" l="1" a="1"/>
  <c r="A64" i="1" s="1"/>
  <c r="B67" i="1" s="1"/>
  <c r="A67" i="1" l="1"/>
  <c r="P25" i="1" l="1"/>
  <c r="P43" i="1"/>
  <c r="P16" i="1"/>
  <c r="R16" i="1" s="1"/>
  <c r="P62" i="1"/>
  <c r="R62" i="1" s="1"/>
  <c r="P61" i="1"/>
  <c r="P52" i="1"/>
  <c r="R52" i="1" s="1"/>
  <c r="R58" i="1" s="1"/>
  <c r="P35" i="1"/>
  <c r="P34" i="1"/>
  <c r="R25" i="1"/>
  <c r="R31" i="1" s="1"/>
  <c r="R34" i="1"/>
  <c r="R40" i="1" s="1"/>
  <c r="P28" i="1"/>
  <c r="R28" i="1" s="1"/>
  <c r="P54" i="1"/>
  <c r="R54" i="1" s="1"/>
  <c r="P20" i="1"/>
  <c r="R20" i="1" s="1"/>
  <c r="P65" i="1"/>
  <c r="R65" i="1" s="1"/>
  <c r="P21" i="1"/>
  <c r="R21" i="1" s="1"/>
  <c r="P66" i="1"/>
  <c r="R66" i="1" s="1"/>
  <c r="P30" i="1"/>
  <c r="R30" i="1" s="1"/>
  <c r="P63" i="1"/>
  <c r="R63" i="1" s="1"/>
  <c r="P48" i="1"/>
  <c r="R48" i="1" s="1"/>
  <c r="P44" i="1"/>
  <c r="R44" i="1" s="1"/>
  <c r="P37" i="1"/>
  <c r="R37" i="1" s="1"/>
  <c r="P36" i="1"/>
  <c r="R36" i="1" s="1"/>
  <c r="P64" i="1"/>
  <c r="R64" i="1" s="1"/>
  <c r="P38" i="1"/>
  <c r="R38" i="1" s="1"/>
  <c r="P17" i="1"/>
  <c r="R17" i="1" s="1"/>
  <c r="R35" i="1"/>
  <c r="P26" i="1"/>
  <c r="R26" i="1" s="1"/>
  <c r="P56" i="1"/>
  <c r="R56" i="1" s="1"/>
  <c r="P53" i="1"/>
  <c r="R53" i="1" s="1"/>
  <c r="R22" i="1"/>
  <c r="P27" i="1"/>
  <c r="R27" i="1" s="1"/>
  <c r="P47" i="1"/>
  <c r="R47" i="1" s="1"/>
  <c r="P55" i="1"/>
  <c r="R55" i="1" s="1"/>
  <c r="P29" i="1"/>
  <c r="R29" i="1" s="1"/>
  <c r="P45" i="1"/>
  <c r="R45" i="1" s="1"/>
  <c r="P18" i="1"/>
  <c r="R18" i="1" s="1"/>
  <c r="P57" i="1"/>
  <c r="R57" i="1" s="1"/>
  <c r="P39" i="1"/>
  <c r="R39" i="1" s="1"/>
  <c r="P19" i="1"/>
  <c r="R19" i="1" s="1"/>
  <c r="P46" i="1"/>
  <c r="R46" i="1" s="1"/>
  <c r="R61" i="1" l="1"/>
  <c r="R67" i="1" s="1"/>
  <c r="R49" i="1"/>
  <c r="R4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<sst xmlns="http://schemas.openxmlformats.org/spreadsheetml/2006/main" count="145" uniqueCount="40">
  <si>
    <t>Titer Calculation Spreadsheet</t>
  </si>
  <si>
    <t>This spreadsheet will walk you through the titer calculation process.</t>
  </si>
  <si>
    <t>The values to input into the spreadsheet are the  percentage of the cell population which stained positive for gp64.</t>
  </si>
  <si>
    <t xml:space="preserve">Example values have been included for the calculation of the standard curve. Replace the example values with your data. </t>
  </si>
  <si>
    <t xml:space="preserve">There is space for two replicates. If only one replicate has been performed, leave fields for "Replicate 2" blank. </t>
  </si>
  <si>
    <t>Follow the lefthand side of the spreadsheet through the calculation and selection of the standard curve values.</t>
  </si>
  <si>
    <t>Once the standard curve has been plotted, the values calculated for your samples will be calculated.</t>
  </si>
  <si>
    <t>The sample values highlighted in yellow are the calculated titer values.</t>
  </si>
  <si>
    <t>Standard Curve Calculation</t>
  </si>
  <si>
    <t>Sample Titer Calculations</t>
  </si>
  <si>
    <t>Enter the % Positive for gp64 for the control and control 1:1</t>
  </si>
  <si>
    <t>Enter the % positive for gp64 for each sample. If only one replicate was performed, leave "Replicate 2" blank.</t>
  </si>
  <si>
    <t>Sample</t>
  </si>
  <si>
    <t>Replicate 1</t>
  </si>
  <si>
    <t>Replicate 2</t>
  </si>
  <si>
    <t>% Positive</t>
  </si>
  <si>
    <t>Equation</t>
  </si>
  <si>
    <t>Dilution</t>
  </si>
  <si>
    <t>Titer (iu/mL)</t>
  </si>
  <si>
    <t>Control</t>
  </si>
  <si>
    <t>Control 1:1</t>
  </si>
  <si>
    <t>Excel calculates the standard curve from the control virus.</t>
  </si>
  <si>
    <t>Avg %+gp64</t>
  </si>
  <si>
    <t>Control Titer</t>
  </si>
  <si>
    <t>←Titer of the current control virus goes here</t>
  </si>
  <si>
    <t>←Only samples between 95 and 5%+gp64 are included in the standard curve</t>
  </si>
  <si>
    <t>Excel calculates A and B from the equation for the slope of the trendline in the Standard Curve.</t>
  </si>
  <si>
    <r>
      <t>y=</t>
    </r>
    <r>
      <rPr>
        <sz val="11"/>
        <color rgb="FF00B050"/>
        <rFont val="Aptos Narrow"/>
        <family val="2"/>
        <scheme val="minor"/>
      </rPr>
      <t>A</t>
    </r>
    <r>
      <rPr>
        <sz val="11"/>
        <color theme="1"/>
        <rFont val="Aptos Narrow"/>
        <family val="2"/>
        <scheme val="minor"/>
      </rPr>
      <t>*e^(</t>
    </r>
    <r>
      <rPr>
        <sz val="11"/>
        <color rgb="FFFF0000"/>
        <rFont val="Aptos Narrow"/>
        <family val="2"/>
        <scheme val="minor"/>
      </rPr>
      <t>B</t>
    </r>
    <r>
      <rPr>
        <sz val="11"/>
        <color theme="1"/>
        <rFont val="Aptos Narrow"/>
        <family val="2"/>
        <scheme val="minor"/>
      </rPr>
      <t>x)</t>
    </r>
  </si>
  <si>
    <t>The LINEST function derives the values.</t>
  </si>
  <si>
    <t>The natural log is taken of the calculated B value for an exponential function. This returns the A and B values:</t>
  </si>
  <si>
    <t>A</t>
  </si>
  <si>
    <t>B</t>
  </si>
  <si>
    <t>Stock</t>
  </si>
  <si>
    <t>1:10</t>
  </si>
  <si>
    <t>1:100</t>
  </si>
  <si>
    <t>1:1000</t>
  </si>
  <si>
    <t>1:10000</t>
  </si>
  <si>
    <t>1:100000</t>
  </si>
  <si>
    <t>Enter data into white boxes. Do not enter data into greyed-out sections.</t>
  </si>
  <si>
    <t>If the titer value of the curent control virus differs from the value in the table used to calculate the standard curve, update it to the titer of your current control 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</si>
</sst>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
  </numFmts>
  <fonts count="6" x14ac:knownFonts="1">
    <font>
      <sz val="11"/>
      <color theme="1"/>
      <name val="Aptos Narrow"/>
      <family val="2"/>
      <scheme val="minor"/>
    </font>
    <font>
      <sz val="11"/>
      <color rgb="FFFF0000"/>
      <name val="Aptos Narrow"/>
      <family val="2"/>
      <scheme val="minor"/>
    </font>
    <font>
      <sz val="11"/>
      <name val="Aptos Narrow"/>
      <family val="2"/>
      <scheme val="minor"/>
    </font>
    <font>
      <sz val="11"/>
      <color rgb="FF00B050"/>
      <name val="Aptos Narrow"/>
      <family val="2"/>
      <scheme val="minor"/>
    </font>
    <font>
      <sz val="14"/>
      <color theme="1"/>
      <name val="Aptos Narrow"/>
      <family val="2"/>
      <scheme val="minor"/>
    </font>
    <font>
      <sz val="16"/>
      <color theme="1"/>
      <name val="Aptos Narrow"/>
      <family val="2"/>
      <scheme val="minor"/>
    </font>
  </fonts>
  <fills count="7">
    <fill>
      <patternFill patternType="none"/>
    </fill>
    <fill>
      <patternFill patternType="gray125"/>
    </fill>
    <fill>
      <patternFill patternType="solid">
        <fgColor rgb="FFFFFF00"/>
        <bgColor indexed="64"/>
      </patternFill>
    </fill>
    <fill>
      <patternFill patternType="solid">
        <fgColor rgb="FF92DAD7"/>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9">
    <xf numFmtId="0" fontId="0" fillId="0" borderId="0" xfId="0"/>
    <xf numFmtId="0" fontId="0" fillId="0" borderId="1" xfId="0" applyBorder="1"/>
    <xf numFmtId="0" fontId="0" fillId="3" borderId="1" xfId="0" applyFill="1" applyBorder="1" applyAlignment="1">
      <alignment horizontal="center" vertical="center"/>
    </xf>
    <xf numFmtId="0" fontId="0" fillId="3" borderId="1" xfId="0" applyFill="1" applyBorder="1"/>
    <xf numFmtId="0" fontId="0" fillId="3" borderId="1" xfId="0" applyFill="1" applyBorder="1" applyAlignment="1">
      <alignment wrapText="1"/>
    </xf>
    <xf numFmtId="11" fontId="0" fillId="0" borderId="0" xfId="0" applyNumberFormat="1"/>
    <xf numFmtId="0" fontId="3" fillId="4" borderId="0" xfId="0" applyFont="1" applyFill="1"/>
    <xf numFmtId="2" fontId="3" fillId="4" borderId="0" xfId="0" applyNumberFormat="1" applyFont="1" applyFill="1"/>
    <xf numFmtId="0" fontId="1" fillId="5" borderId="0" xfId="0" applyFont="1" applyFill="1"/>
    <xf numFmtId="165" fontId="1" fillId="5" borderId="0" xfId="0" applyNumberFormat="1" applyFont="1" applyFill="1"/>
    <xf numFmtId="166" fontId="0" fillId="6" borderId="0" xfId="0" applyNumberFormat="1" applyFill="1"/>
    <xf numFmtId="164" fontId="0" fillId="6" borderId="0" xfId="0" applyNumberFormat="1" applyFill="1"/>
    <xf numFmtId="0" fontId="4" fillId="0" borderId="0" xfId="0" applyFont="1"/>
    <xf numFmtId="0" fontId="5" fillId="0" borderId="0" xfId="0" applyFont="1"/>
    <xf numFmtId="11" fontId="2" fillId="2" borderId="1" xfId="0" applyNumberFormat="1" applyFont="1" applyFill="1" applyBorder="1"/>
    <xf numFmtId="11" fontId="5" fillId="0" borderId="0" xfId="0" applyNumberFormat="1" applyFont="1"/>
    <xf numFmtId="11" fontId="0" fillId="3" borderId="1" xfId="0" applyNumberFormat="1" applyFill="1" applyBorder="1" applyAlignment="1">
      <alignment horizontal="center" vertical="center"/>
    </xf>
    <xf numFmtId="0" fontId="0" fillId="6" borderId="1" xfId="0" applyFill="1" applyBorder="1"/>
    <xf numFmtId="11" fontId="0" fillId="6" borderId="1" xfId="0" applyNumberFormat="1" applyFill="1" applyBorder="1"/>
    <xf numFmtId="49" fontId="0" fillId="6" borderId="1" xfId="0" applyNumberFormat="1" applyFill="1" applyBorder="1"/>
    <xf numFmtId="11" fontId="0" fillId="0" borderId="1" xfId="0" applyNumberFormat="1" applyBorder="1"/>
    <xf numFmtId="0" fontId="0" fillId="0" borderId="0" xfId="0" applyAlignment="1">
      <alignment horizontal="center" vertical="center"/>
    </xf>
    <xf numFmtId="11" fontId="2" fillId="0" borderId="0" xfId="0" applyNumberFormat="1" applyFont="1"/>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0000"/>
      <color rgb="FF92DA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Standard</a:t>
            </a:r>
            <a:r>
              <a:rPr lang="en-US" baseline="0"/>
              <a:t> Curve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381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exp"/>
            <c:dispRSqr val="1"/>
            <c:dispEq val="1"/>
            <c:trendlineLbl>
              <c:layout>
                <c:manualLayout>
                  <c:x val="2.9116141732283465E-2"/>
                  <c:y val="0.27736111111111111"/>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2000" baseline="0"/>
                      <a:t>y = 61089e</a:t>
                    </a:r>
                    <a:r>
                      <a:rPr lang="en-US" sz="2000" baseline="30000"/>
                      <a:t>0.0514x</a:t>
                    </a:r>
                    <a:br>
                      <a:rPr lang="en-US" sz="2000" baseline="0"/>
                    </a:br>
                    <a:r>
                      <a:rPr lang="en-US" sz="2000" baseline="0"/>
                      <a:t>R² = 0.9975</a:t>
                    </a:r>
                    <a:endParaRPr lang="en-US" sz="3600"/>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Sheet1!$B$40:$B$44</c:f>
              <c:numCache>
                <c:formatCode>General</c:formatCode>
                <c:ptCount val="5"/>
                <c:pt idx="0">
                  <c:v>92.6</c:v>
                </c:pt>
                <c:pt idx="1">
                  <c:v>56.93</c:v>
                </c:pt>
                <c:pt idx="2">
                  <c:v>37.340000000000003</c:v>
                </c:pt>
                <c:pt idx="3">
                  <c:v>11.37</c:v>
                </c:pt>
                <c:pt idx="4">
                  <c:v>6.33</c:v>
                </c:pt>
              </c:numCache>
            </c:numRef>
          </c:xVal>
          <c:yVal>
            <c:numRef>
              <c:f>Sheet1!$C$40:$C$44</c:f>
              <c:numCache>
                <c:formatCode>0.00E+00</c:formatCode>
                <c:ptCount val="5"/>
                <c:pt idx="0">
                  <c:v>5000000</c:v>
                </c:pt>
                <c:pt idx="1">
                  <c:v>1000000</c:v>
                </c:pt>
                <c:pt idx="2">
                  <c:v>500000</c:v>
                </c:pt>
                <c:pt idx="3">
                  <c:v>100000</c:v>
                </c:pt>
                <c:pt idx="4">
                  <c:v>50000</c:v>
                </c:pt>
              </c:numCache>
            </c:numRef>
          </c:yVal>
          <c:smooth val="0"/>
          <c:extLst>
            <c:ext xmlns:c16="http://schemas.microsoft.com/office/drawing/2014/chart" uri="{C3380CC4-5D6E-409C-BE32-E72D297353CC}">
              <c16:uniqueId val="{00000000-9EA1-42C5-9C71-9D7063114F61}"/>
            </c:ext>
          </c:extLst>
        </c:ser>
        <c:dLbls>
          <c:showLegendKey val="0"/>
          <c:showVal val="0"/>
          <c:showCatName val="0"/>
          <c:showSerName val="0"/>
          <c:showPercent val="0"/>
          <c:showBubbleSize val="0"/>
        </c:dLbls>
        <c:axId val="1220609624"/>
        <c:axId val="1220614664"/>
      </c:scatterChart>
      <c:valAx>
        <c:axId val="1220609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0614664"/>
        <c:crosses val="autoZero"/>
        <c:crossBetween val="midCat"/>
        <c:majorUnit val="10"/>
      </c:valAx>
      <c:valAx>
        <c:axId val="1220614664"/>
        <c:scaling>
          <c:logBase val="10"/>
          <c:orientation val="minMax"/>
          <c:max val="10000010"/>
          <c:min val="1"/>
        </c:scaling>
        <c:delete val="0"/>
        <c:axPos val="l"/>
        <c:majorGridlines>
          <c:spPr>
            <a:ln w="9525" cap="flat" cmpd="sng" algn="ctr">
              <a:solidFill>
                <a:schemeClr val="tx1">
                  <a:lumMod val="15000"/>
                  <a:lumOff val="85000"/>
                </a:schemeClr>
              </a:solidFill>
              <a:round/>
            </a:ln>
            <a:effectLst/>
          </c:spPr>
        </c:majorGridlines>
        <c:numFmt formatCode="0.00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0609624"/>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76200</xdr:colOff>
      <xdr:row>44</xdr:row>
      <xdr:rowOff>72390</xdr:rowOff>
    </xdr:from>
    <xdr:to>
      <xdr:col>7</xdr:col>
      <xdr:colOff>83820</xdr:colOff>
      <xdr:row>59</xdr:row>
      <xdr:rowOff>72390</xdr:rowOff>
    </xdr:to>
    <xdr:graphicFrame macro="">
      <xdr:nvGraphicFramePr>
        <xdr:cNvPr id="2" name="Chart 1">
          <a:extLst>
            <a:ext uri="{FF2B5EF4-FFF2-40B4-BE49-F238E27FC236}">
              <a16:creationId xmlns:a16="http://schemas.microsoft.com/office/drawing/2014/main" id="{572A5754-481B-487A-E19D-E0E9F05ADC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415109</xdr:colOff>
      <xdr:row>0</xdr:row>
      <xdr:rowOff>48381</xdr:rowOff>
    </xdr:from>
    <xdr:to>
      <xdr:col>17</xdr:col>
      <xdr:colOff>786191</xdr:colOff>
      <xdr:row>8</xdr:row>
      <xdr:rowOff>52319</xdr:rowOff>
    </xdr:to>
    <xdr:pic>
      <xdr:nvPicPr>
        <xdr:cNvPr id="5" name="Picture 4">
          <a:extLst>
            <a:ext uri="{FF2B5EF4-FFF2-40B4-BE49-F238E27FC236}">
              <a16:creationId xmlns:a16="http://schemas.microsoft.com/office/drawing/2014/main" id="{1DC23E69-573F-68F0-E536-2DE9200448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59109" y="48381"/>
          <a:ext cx="2935272" cy="1540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CD5B7-503E-485E-B118-089965D7AD11}">
  <dimension ref="A1:R67"/>
  <sheetViews>
    <sheetView tabSelected="1" zoomScale="63" zoomScaleNormal="80" workbookViewId="0">
      <selection activeCell="M16" sqref="M16"/>
    </sheetView>
  </sheetViews>
  <sheetFormatPr defaultRowHeight="14.4" x14ac:dyDescent="0.3"/>
  <cols>
    <col min="1" max="1" width="10.33203125" customWidth="1"/>
    <col min="2" max="2" width="10.6640625" customWidth="1"/>
    <col min="3" max="3" width="14.109375" customWidth="1"/>
    <col min="4" max="4" width="11.44140625" customWidth="1"/>
    <col min="5" max="5" width="11.6640625" bestFit="1" customWidth="1"/>
    <col min="6" max="7" width="9" bestFit="1" customWidth="1"/>
    <col min="8" max="8" width="11.109375" bestFit="1" customWidth="1"/>
    <col min="9" max="10" width="8.77734375" bestFit="1" customWidth="1"/>
    <col min="11" max="11" width="9" bestFit="1" customWidth="1"/>
    <col min="12" max="12" width="8.77734375" bestFit="1" customWidth="1"/>
    <col min="13" max="14" width="10.6640625" bestFit="1" customWidth="1"/>
    <col min="15" max="15" width="9.77734375" bestFit="1" customWidth="1"/>
    <col min="16" max="16" width="9.109375" style="5" bestFit="1" customWidth="1"/>
    <col min="17" max="17" width="8" bestFit="1" customWidth="1"/>
    <col min="18" max="18" width="11.6640625" style="5" bestFit="1" customWidth="1"/>
    <col min="19" max="41" width="8.77734375" bestFit="1" customWidth="1"/>
  </cols>
  <sheetData>
    <row r="1" spans="1:18" s="13" customFormat="1" ht="21" x14ac:dyDescent="0.4">
      <c r="A1" s="13" t="s">
        <v>0</v>
      </c>
      <c r="M1"/>
      <c r="P1" s="15"/>
      <c r="R1" s="15"/>
    </row>
    <row r="3" spans="1:18" x14ac:dyDescent="0.3">
      <c r="A3" t="s">
        <v>1</v>
      </c>
    </row>
    <row r="4" spans="1:18" x14ac:dyDescent="0.3">
      <c r="A4" t="s">
        <v>2</v>
      </c>
    </row>
    <row r="5" spans="1:18" x14ac:dyDescent="0.3">
      <c r="A5" t="s">
        <v>38</v>
      </c>
    </row>
    <row r="6" spans="1:18" x14ac:dyDescent="0.3">
      <c r="A6" t="s">
        <v>3</v>
      </c>
    </row>
    <row r="7" spans="1:18" x14ac:dyDescent="0.3">
      <c r="A7" t="s">
        <v>4</v>
      </c>
    </row>
    <row r="8" spans="1:18" x14ac:dyDescent="0.3">
      <c r="A8" t="s">
        <v>5</v>
      </c>
    </row>
    <row r="9" spans="1:18" x14ac:dyDescent="0.3">
      <c r="A9" t="s">
        <v>39</v>
      </c>
    </row>
    <row r="10" spans="1:18" x14ac:dyDescent="0.3">
      <c r="A10" t="s">
        <v>6</v>
      </c>
    </row>
    <row r="11" spans="1:18" x14ac:dyDescent="0.3">
      <c r="A11" t="s">
        <v>7</v>
      </c>
    </row>
    <row r="13" spans="1:18" ht="18" x14ac:dyDescent="0.35">
      <c r="A13" s="12" t="s">
        <v>8</v>
      </c>
      <c r="K13" s="12" t="s">
        <v>9</v>
      </c>
    </row>
    <row r="14" spans="1:18" x14ac:dyDescent="0.3">
      <c r="A14" t="s">
        <v>10</v>
      </c>
      <c r="K14" t="s">
        <v>11</v>
      </c>
    </row>
    <row r="15" spans="1:18" x14ac:dyDescent="0.3">
      <c r="A15" s="2" t="s">
        <v>12</v>
      </c>
      <c r="B15" s="2" t="s">
        <v>17</v>
      </c>
      <c r="C15" s="2" t="s">
        <v>13</v>
      </c>
      <c r="D15" s="2" t="s">
        <v>14</v>
      </c>
      <c r="E15" s="2" t="s">
        <v>15</v>
      </c>
      <c r="F15" s="21"/>
      <c r="G15" s="21"/>
      <c r="H15" s="21"/>
      <c r="K15" s="2" t="s">
        <v>12</v>
      </c>
      <c r="L15" s="2" t="s">
        <v>17</v>
      </c>
      <c r="M15" s="2" t="s">
        <v>13</v>
      </c>
      <c r="N15" s="2" t="s">
        <v>14</v>
      </c>
      <c r="O15" s="2" t="s">
        <v>15</v>
      </c>
      <c r="P15" s="16" t="s">
        <v>16</v>
      </c>
      <c r="Q15" s="2" t="s">
        <v>17</v>
      </c>
      <c r="R15" s="16" t="s">
        <v>18</v>
      </c>
    </row>
    <row r="16" spans="1:18" x14ac:dyDescent="0.3">
      <c r="A16" s="26" t="s">
        <v>19</v>
      </c>
      <c r="B16" s="19" t="s">
        <v>32</v>
      </c>
      <c r="C16" s="1">
        <v>99.74</v>
      </c>
      <c r="D16" s="1"/>
      <c r="E16" s="17">
        <f t="shared" ref="E16:E21" si="0">AVERAGE(C16,D16)</f>
        <v>99.74</v>
      </c>
      <c r="F16" s="5"/>
      <c r="K16" s="23">
        <v>1</v>
      </c>
      <c r="L16" s="19" t="s">
        <v>32</v>
      </c>
      <c r="M16" s="1"/>
      <c r="N16" s="1"/>
      <c r="O16" s="17" t="e">
        <f>AVERAGE(M16,N16)</f>
        <v>#DIV/0!</v>
      </c>
      <c r="P16" s="18" t="e">
        <f>$A$67*EXP($B$67*O$16)</f>
        <v>#DIV/0!</v>
      </c>
      <c r="Q16" s="17" t="e">
        <f>IF(AND(O16&lt;95,O16&gt;5,O17&lt;90),2,0)</f>
        <v>#DIV/0!</v>
      </c>
      <c r="R16" s="18" t="e">
        <f>P16*Q16</f>
        <v>#DIV/0!</v>
      </c>
    </row>
    <row r="17" spans="1:18" x14ac:dyDescent="0.3">
      <c r="A17" s="27"/>
      <c r="B17" s="19" t="s">
        <v>33</v>
      </c>
      <c r="C17" s="1">
        <v>99.16</v>
      </c>
      <c r="D17" s="1"/>
      <c r="E17" s="17">
        <f t="shared" si="0"/>
        <v>99.16</v>
      </c>
      <c r="F17" s="5"/>
      <c r="K17" s="24"/>
      <c r="L17" s="19" t="s">
        <v>33</v>
      </c>
      <c r="M17" s="1"/>
      <c r="N17" s="1"/>
      <c r="O17" s="17" t="e">
        <f>AVERAGE(M17,N17)</f>
        <v>#DIV/0!</v>
      </c>
      <c r="P17" s="18" t="e">
        <f>$A$67*EXP($B$67*O17)</f>
        <v>#DIV/0!</v>
      </c>
      <c r="Q17" s="17" t="e">
        <f>IF(AND(O17&lt;95,O17&gt;5,O16&gt;5),10,0)</f>
        <v>#DIV/0!</v>
      </c>
      <c r="R17" s="18" t="e">
        <f>P17*Q17</f>
        <v>#DIV/0!</v>
      </c>
    </row>
    <row r="18" spans="1:18" x14ac:dyDescent="0.3">
      <c r="A18" s="27"/>
      <c r="B18" s="19" t="s">
        <v>34</v>
      </c>
      <c r="C18" s="1">
        <v>96.53</v>
      </c>
      <c r="D18" s="1"/>
      <c r="E18" s="17">
        <f t="shared" si="0"/>
        <v>96.53</v>
      </c>
      <c r="F18" s="5"/>
      <c r="K18" s="24"/>
      <c r="L18" s="19" t="s">
        <v>34</v>
      </c>
      <c r="M18" s="1"/>
      <c r="N18" s="1"/>
      <c r="O18" s="17" t="e">
        <f t="shared" ref="O18:O21" si="1">AVERAGE(M18,N18)</f>
        <v>#DIV/0!</v>
      </c>
      <c r="P18" s="18" t="e">
        <f>$A$67*EXP($B$67*O18)</f>
        <v>#DIV/0!</v>
      </c>
      <c r="Q18" s="17" t="e">
        <f>IF(AND(O18&lt;95,O18&gt;5,O17&gt;5),100,0)</f>
        <v>#DIV/0!</v>
      </c>
      <c r="R18" s="18" t="e">
        <f>P18*Q18</f>
        <v>#DIV/0!</v>
      </c>
    </row>
    <row r="19" spans="1:18" x14ac:dyDescent="0.3">
      <c r="A19" s="27"/>
      <c r="B19" s="19" t="s">
        <v>35</v>
      </c>
      <c r="C19" s="1">
        <v>56.93</v>
      </c>
      <c r="D19" s="1"/>
      <c r="E19" s="17">
        <f t="shared" si="0"/>
        <v>56.93</v>
      </c>
      <c r="F19" s="5"/>
      <c r="K19" s="24"/>
      <c r="L19" s="19" t="s">
        <v>35</v>
      </c>
      <c r="M19" s="1"/>
      <c r="N19" s="1"/>
      <c r="O19" s="17" t="e">
        <f t="shared" si="1"/>
        <v>#DIV/0!</v>
      </c>
      <c r="P19" s="18" t="e">
        <f>$A$67*EXP($B$67*O19)</f>
        <v>#DIV/0!</v>
      </c>
      <c r="Q19" s="17" t="e">
        <f>IF(AND(O19&lt;95,O19&gt;5,O18&gt;5),1000,0)</f>
        <v>#DIV/0!</v>
      </c>
      <c r="R19" s="18" t="e">
        <f>P19*Q19</f>
        <v>#DIV/0!</v>
      </c>
    </row>
    <row r="20" spans="1:18" x14ac:dyDescent="0.3">
      <c r="A20" s="28"/>
      <c r="B20" s="19" t="s">
        <v>36</v>
      </c>
      <c r="C20" s="1">
        <v>11.37</v>
      </c>
      <c r="D20" s="1"/>
      <c r="E20" s="17">
        <f t="shared" si="0"/>
        <v>11.37</v>
      </c>
      <c r="F20" s="5"/>
      <c r="K20" s="25"/>
      <c r="L20" s="19" t="s">
        <v>36</v>
      </c>
      <c r="M20" s="1"/>
      <c r="N20" s="1"/>
      <c r="O20" s="17" t="e">
        <f t="shared" si="1"/>
        <v>#DIV/0!</v>
      </c>
      <c r="P20" s="18" t="e">
        <f>$A$67*EXP($B$67*O20)</f>
        <v>#DIV/0!</v>
      </c>
      <c r="Q20" s="17" t="e">
        <f>IF(AND(O20&lt;95,O20&gt;5,O19&gt;5),10000,0)</f>
        <v>#DIV/0!</v>
      </c>
      <c r="R20" s="17" t="e">
        <f>P20*Q20</f>
        <v>#DIV/0!</v>
      </c>
    </row>
    <row r="21" spans="1:18" x14ac:dyDescent="0.3">
      <c r="B21" s="19" t="s">
        <v>37</v>
      </c>
      <c r="C21" s="1">
        <v>2.86</v>
      </c>
      <c r="D21" s="1"/>
      <c r="E21" s="17">
        <f t="shared" si="0"/>
        <v>2.86</v>
      </c>
      <c r="F21" s="5"/>
      <c r="L21" s="19" t="s">
        <v>37</v>
      </c>
      <c r="M21" s="1"/>
      <c r="N21" s="1"/>
      <c r="O21" s="17" t="e">
        <f t="shared" si="1"/>
        <v>#DIV/0!</v>
      </c>
      <c r="P21" s="18" t="e">
        <f>$A$67*EXP($B$67*O21)</f>
        <v>#DIV/0!</v>
      </c>
      <c r="Q21" s="17" t="e">
        <f>IF(AND(O21&lt;95,O21&gt;5,O20&gt;5),100000,0)</f>
        <v>#DIV/0!</v>
      </c>
      <c r="R21" s="18" t="e">
        <f t="shared" ref="R21" si="2">P21*Q21</f>
        <v>#DIV/0!</v>
      </c>
    </row>
    <row r="22" spans="1:18" x14ac:dyDescent="0.3">
      <c r="H22" s="22"/>
      <c r="R22" s="14" t="e">
        <f>AVERAGEIF(R16:R20, "&lt;&gt;0")</f>
        <v>#DIV/0!</v>
      </c>
    </row>
    <row r="24" spans="1:18" x14ac:dyDescent="0.3">
      <c r="A24" s="2" t="s">
        <v>12</v>
      </c>
      <c r="B24" s="2" t="s">
        <v>17</v>
      </c>
      <c r="C24" s="2" t="s">
        <v>13</v>
      </c>
      <c r="D24" s="2" t="s">
        <v>14</v>
      </c>
      <c r="E24" s="2" t="s">
        <v>15</v>
      </c>
      <c r="F24" s="21"/>
      <c r="G24" s="21"/>
      <c r="H24" s="21"/>
      <c r="K24" s="2" t="s">
        <v>12</v>
      </c>
      <c r="L24" s="2" t="s">
        <v>17</v>
      </c>
      <c r="M24" s="2" t="s">
        <v>13</v>
      </c>
      <c r="N24" s="2" t="s">
        <v>14</v>
      </c>
      <c r="O24" s="2" t="s">
        <v>15</v>
      </c>
      <c r="P24" s="16" t="s">
        <v>16</v>
      </c>
      <c r="Q24" s="2" t="s">
        <v>17</v>
      </c>
      <c r="R24" s="16" t="s">
        <v>18</v>
      </c>
    </row>
    <row r="25" spans="1:18" x14ac:dyDescent="0.3">
      <c r="A25" s="26" t="s">
        <v>20</v>
      </c>
      <c r="B25" s="19" t="s">
        <v>32</v>
      </c>
      <c r="C25" s="1">
        <v>99.6</v>
      </c>
      <c r="D25" s="1"/>
      <c r="E25" s="17">
        <f t="shared" ref="E25:E30" si="3">AVERAGE(C25,D25)</f>
        <v>99.6</v>
      </c>
      <c r="F25" s="5"/>
      <c r="K25" s="23">
        <v>2</v>
      </c>
      <c r="L25" s="19" t="s">
        <v>32</v>
      </c>
      <c r="M25" s="1"/>
      <c r="N25" s="1"/>
      <c r="O25" s="17" t="e">
        <f>AVERAGE(M25,N25)</f>
        <v>#DIV/0!</v>
      </c>
      <c r="P25" s="18" t="e">
        <f>$A$67*EXP($B$67*O$25)</f>
        <v>#DIV/0!</v>
      </c>
      <c r="Q25" s="17" t="e">
        <f>IF(AND(O25&lt;95,O25&gt;5,O26&lt;90),2,0)</f>
        <v>#DIV/0!</v>
      </c>
      <c r="R25" s="18" t="e">
        <f>P25*Q25</f>
        <v>#DIV/0!</v>
      </c>
    </row>
    <row r="26" spans="1:18" x14ac:dyDescent="0.3">
      <c r="A26" s="27"/>
      <c r="B26" s="19" t="s">
        <v>33</v>
      </c>
      <c r="C26" s="1">
        <v>99.08</v>
      </c>
      <c r="D26" s="1"/>
      <c r="E26" s="17">
        <f t="shared" si="3"/>
        <v>99.08</v>
      </c>
      <c r="F26" s="5"/>
      <c r="K26" s="24"/>
      <c r="L26" s="19" t="s">
        <v>33</v>
      </c>
      <c r="M26" s="1"/>
      <c r="N26" s="1"/>
      <c r="O26" s="17" t="e">
        <f>AVERAGE(M26,N26)</f>
        <v>#DIV/0!</v>
      </c>
      <c r="P26" s="18" t="e">
        <f>$A$67*EXP($B$67*O26)</f>
        <v>#DIV/0!</v>
      </c>
      <c r="Q26" s="17" t="e">
        <f>IF(AND(O26&lt;95,O26&gt;5,O25&gt;5),10,0)</f>
        <v>#DIV/0!</v>
      </c>
      <c r="R26" s="18" t="e">
        <f>P26*Q26</f>
        <v>#DIV/0!</v>
      </c>
    </row>
    <row r="27" spans="1:18" x14ac:dyDescent="0.3">
      <c r="A27" s="27"/>
      <c r="B27" s="19" t="s">
        <v>34</v>
      </c>
      <c r="C27" s="1">
        <v>92.6</v>
      </c>
      <c r="D27" s="1"/>
      <c r="E27" s="17">
        <f t="shared" si="3"/>
        <v>92.6</v>
      </c>
      <c r="F27" s="5"/>
      <c r="K27" s="24"/>
      <c r="L27" s="19" t="s">
        <v>34</v>
      </c>
      <c r="M27" s="1"/>
      <c r="N27" s="1"/>
      <c r="O27" s="17" t="e">
        <f t="shared" ref="O27:O30" si="4">AVERAGE(M27,N27)</f>
        <v>#DIV/0!</v>
      </c>
      <c r="P27" s="18" t="e">
        <f>$A$67*EXP($B$67*O27)</f>
        <v>#DIV/0!</v>
      </c>
      <c r="Q27" s="17" t="e">
        <f>IF(AND(O27&lt;95,O27&gt;5,O26&gt;5),100,0)</f>
        <v>#DIV/0!</v>
      </c>
      <c r="R27" s="18" t="e">
        <f t="shared" ref="R27:R30" si="5">P27*Q27</f>
        <v>#DIV/0!</v>
      </c>
    </row>
    <row r="28" spans="1:18" x14ac:dyDescent="0.3">
      <c r="A28" s="27"/>
      <c r="B28" s="19" t="s">
        <v>35</v>
      </c>
      <c r="C28" s="1">
        <v>37.340000000000003</v>
      </c>
      <c r="D28" s="1"/>
      <c r="E28" s="17">
        <f t="shared" si="3"/>
        <v>37.340000000000003</v>
      </c>
      <c r="F28" s="5"/>
      <c r="K28" s="24"/>
      <c r="L28" s="19" t="s">
        <v>35</v>
      </c>
      <c r="M28" s="1"/>
      <c r="N28" s="1"/>
      <c r="O28" s="17" t="e">
        <f t="shared" si="4"/>
        <v>#DIV/0!</v>
      </c>
      <c r="P28" s="18" t="e">
        <f>$A$67*EXP($B$67*O28)</f>
        <v>#DIV/0!</v>
      </c>
      <c r="Q28" s="17" t="e">
        <f>IF(AND(O28&lt;95,O28&gt;5,O27&gt;5),1000,0)</f>
        <v>#DIV/0!</v>
      </c>
      <c r="R28" s="18" t="e">
        <f t="shared" si="5"/>
        <v>#DIV/0!</v>
      </c>
    </row>
    <row r="29" spans="1:18" x14ac:dyDescent="0.3">
      <c r="A29" s="28"/>
      <c r="B29" s="19" t="s">
        <v>36</v>
      </c>
      <c r="C29" s="1">
        <v>6.33</v>
      </c>
      <c r="D29" s="1"/>
      <c r="E29" s="17">
        <f t="shared" si="3"/>
        <v>6.33</v>
      </c>
      <c r="F29" s="5"/>
      <c r="K29" s="25"/>
      <c r="L29" s="19" t="s">
        <v>36</v>
      </c>
      <c r="M29" s="1"/>
      <c r="N29" s="1"/>
      <c r="O29" s="17" t="e">
        <f t="shared" si="4"/>
        <v>#DIV/0!</v>
      </c>
      <c r="P29" s="18" t="e">
        <f>$A$67*EXP($B$67*O29)</f>
        <v>#DIV/0!</v>
      </c>
      <c r="Q29" s="17" t="e">
        <f>IF(AND(O29&lt;95,O29&gt;5,O28&gt;5),10000,0)</f>
        <v>#DIV/0!</v>
      </c>
      <c r="R29" s="18" t="e">
        <f t="shared" si="5"/>
        <v>#DIV/0!</v>
      </c>
    </row>
    <row r="30" spans="1:18" x14ac:dyDescent="0.3">
      <c r="B30" s="19" t="s">
        <v>37</v>
      </c>
      <c r="C30" s="1">
        <v>1.66</v>
      </c>
      <c r="D30" s="1"/>
      <c r="E30" s="17">
        <f t="shared" si="3"/>
        <v>1.66</v>
      </c>
      <c r="F30" s="5"/>
      <c r="H30" s="5"/>
      <c r="L30" s="19" t="s">
        <v>37</v>
      </c>
      <c r="M30" s="1"/>
      <c r="N30" s="1"/>
      <c r="O30" s="17" t="e">
        <f t="shared" si="4"/>
        <v>#DIV/0!</v>
      </c>
      <c r="P30" s="18" t="e">
        <f>$A$67*EXP($B$67*O30)</f>
        <v>#DIV/0!</v>
      </c>
      <c r="Q30" s="17" t="e">
        <f>IF(AND(O30&lt;95,O30&gt;5,O29&gt;5),100000,0)</f>
        <v>#DIV/0!</v>
      </c>
      <c r="R30" s="18" t="e">
        <f t="shared" si="5"/>
        <v>#DIV/0!</v>
      </c>
    </row>
    <row r="31" spans="1:18" x14ac:dyDescent="0.3">
      <c r="H31" s="22"/>
      <c r="R31" s="14" t="e">
        <f>AVERAGEIF(R25:R29, "&lt;&gt;0")</f>
        <v>#DIV/0!</v>
      </c>
    </row>
    <row r="33" spans="1:18" x14ac:dyDescent="0.3">
      <c r="A33" t="s">
        <v>21</v>
      </c>
      <c r="K33" s="2" t="s">
        <v>12</v>
      </c>
      <c r="L33" s="2" t="s">
        <v>17</v>
      </c>
      <c r="M33" s="2" t="s">
        <v>13</v>
      </c>
      <c r="N33" s="2" t="s">
        <v>14</v>
      </c>
      <c r="O33" s="2" t="s">
        <v>15</v>
      </c>
      <c r="P33" s="16" t="s">
        <v>16</v>
      </c>
      <c r="Q33" s="2" t="s">
        <v>17</v>
      </c>
      <c r="R33" s="16" t="s">
        <v>18</v>
      </c>
    </row>
    <row r="34" spans="1:18" x14ac:dyDescent="0.3">
      <c r="A34" s="3" t="s">
        <v>12</v>
      </c>
      <c r="B34" s="3" t="s">
        <v>22</v>
      </c>
      <c r="C34" s="4" t="s">
        <v>23</v>
      </c>
      <c r="K34" s="23">
        <v>3</v>
      </c>
      <c r="L34" s="19" t="s">
        <v>32</v>
      </c>
      <c r="M34" s="1"/>
      <c r="N34" s="1"/>
      <c r="O34" s="17" t="e">
        <f>AVERAGE(M34,N34)</f>
        <v>#DIV/0!</v>
      </c>
      <c r="P34" s="18" t="e">
        <f>$A$67*EXP($B$67*O$34)</f>
        <v>#DIV/0!</v>
      </c>
      <c r="Q34" s="17" t="e">
        <f>IF(AND(O34&lt;95,O34&gt;5,O35&lt;90),2,0)</f>
        <v>#DIV/0!</v>
      </c>
      <c r="R34" s="18" t="e">
        <f>P34*Q34</f>
        <v>#DIV/0!</v>
      </c>
    </row>
    <row r="35" spans="1:18" x14ac:dyDescent="0.3">
      <c r="A35" s="17" t="s">
        <v>19</v>
      </c>
      <c r="B35" s="17">
        <f>E16</f>
        <v>99.74</v>
      </c>
      <c r="C35" s="20">
        <v>1000000000</v>
      </c>
      <c r="D35" t="s">
        <v>24</v>
      </c>
      <c r="K35" s="24"/>
      <c r="L35" s="19" t="s">
        <v>33</v>
      </c>
      <c r="M35" s="1"/>
      <c r="N35" s="1"/>
      <c r="O35" s="17" t="e">
        <f>AVERAGE(M35,N35)</f>
        <v>#DIV/0!</v>
      </c>
      <c r="P35" s="18" t="e">
        <f>$A$67*EXP($B$67*O35)</f>
        <v>#DIV/0!</v>
      </c>
      <c r="Q35" s="17" t="e">
        <f>IF(AND(O35&lt;95,O35&gt;5,O34&gt;5),10,0)</f>
        <v>#DIV/0!</v>
      </c>
      <c r="R35" s="18" t="e">
        <f>P35*Q35</f>
        <v>#DIV/0!</v>
      </c>
    </row>
    <row r="36" spans="1:18" x14ac:dyDescent="0.3">
      <c r="A36" s="17" t="s">
        <v>20</v>
      </c>
      <c r="B36" s="17">
        <f>E25</f>
        <v>99.6</v>
      </c>
      <c r="C36" s="18">
        <f>C35/2</f>
        <v>500000000</v>
      </c>
      <c r="K36" s="24"/>
      <c r="L36" s="19" t="s">
        <v>34</v>
      </c>
      <c r="M36" s="1"/>
      <c r="N36" s="1"/>
      <c r="O36" s="17" t="e">
        <f t="shared" ref="O36:O39" si="6">AVERAGE(M36,N36)</f>
        <v>#DIV/0!</v>
      </c>
      <c r="P36" s="18" t="e">
        <f>$A$67*EXP($B$67*O36)</f>
        <v>#DIV/0!</v>
      </c>
      <c r="Q36" s="17" t="e">
        <f>IF(AND(O36&lt;95,O36&gt;5,O35&gt;5),100,0)</f>
        <v>#DIV/0!</v>
      </c>
      <c r="R36" s="18" t="e">
        <f t="shared" ref="R36:R39" si="7">P36*Q36</f>
        <v>#DIV/0!</v>
      </c>
    </row>
    <row r="37" spans="1:18" x14ac:dyDescent="0.3">
      <c r="A37" s="17" t="s">
        <v>19</v>
      </c>
      <c r="B37" s="17">
        <f>E17</f>
        <v>99.16</v>
      </c>
      <c r="C37" s="18">
        <f>C35/10</f>
        <v>100000000</v>
      </c>
      <c r="K37" s="24"/>
      <c r="L37" s="19" t="s">
        <v>35</v>
      </c>
      <c r="M37" s="1"/>
      <c r="N37" s="1"/>
      <c r="O37" s="17" t="e">
        <f t="shared" si="6"/>
        <v>#DIV/0!</v>
      </c>
      <c r="P37" s="18" t="e">
        <f>$A$67*EXP($B$67*O37)</f>
        <v>#DIV/0!</v>
      </c>
      <c r="Q37" s="17" t="e">
        <f>IF(AND(O37&lt;95,O37&gt;5,O36&gt;5),1000,0)</f>
        <v>#DIV/0!</v>
      </c>
      <c r="R37" s="18" t="e">
        <f t="shared" si="7"/>
        <v>#DIV/0!</v>
      </c>
    </row>
    <row r="38" spans="1:18" x14ac:dyDescent="0.3">
      <c r="A38" s="17" t="s">
        <v>20</v>
      </c>
      <c r="B38" s="17">
        <f>E26</f>
        <v>99.08</v>
      </c>
      <c r="C38" s="18">
        <f>C37/2</f>
        <v>50000000</v>
      </c>
      <c r="K38" s="25"/>
      <c r="L38" s="19" t="s">
        <v>36</v>
      </c>
      <c r="M38" s="1"/>
      <c r="N38" s="1"/>
      <c r="O38" s="17" t="e">
        <f t="shared" si="6"/>
        <v>#DIV/0!</v>
      </c>
      <c r="P38" s="18" t="e">
        <f>$A$67*EXP($B$67*O38)</f>
        <v>#DIV/0!</v>
      </c>
      <c r="Q38" s="17" t="e">
        <f>IF(AND(O38&lt;95,O38&gt;5,O37&gt;5),10000,0)</f>
        <v>#DIV/0!</v>
      </c>
      <c r="R38" s="18" t="e">
        <f t="shared" si="7"/>
        <v>#DIV/0!</v>
      </c>
    </row>
    <row r="39" spans="1:18" x14ac:dyDescent="0.3">
      <c r="A39" s="17" t="s">
        <v>19</v>
      </c>
      <c r="B39" s="17">
        <f>E18</f>
        <v>96.53</v>
      </c>
      <c r="C39" s="18">
        <f>C37/10</f>
        <v>10000000</v>
      </c>
      <c r="L39" s="19" t="s">
        <v>37</v>
      </c>
      <c r="M39" s="1"/>
      <c r="N39" s="1"/>
      <c r="O39" s="17" t="e">
        <f t="shared" si="6"/>
        <v>#DIV/0!</v>
      </c>
      <c r="P39" s="18" t="e">
        <f>$A$67*EXP($B$67*O39)</f>
        <v>#DIV/0!</v>
      </c>
      <c r="Q39" s="17" t="e">
        <f>IF(AND(O39&lt;95,O39&gt;5,O38&gt;5),100000,0)</f>
        <v>#DIV/0!</v>
      </c>
      <c r="R39" s="18" t="e">
        <f t="shared" si="7"/>
        <v>#DIV/0!</v>
      </c>
    </row>
    <row r="40" spans="1:18" x14ac:dyDescent="0.3">
      <c r="A40" s="17" t="s">
        <v>20</v>
      </c>
      <c r="B40" s="17">
        <f>E27</f>
        <v>92.6</v>
      </c>
      <c r="C40" s="18">
        <f>C39/2</f>
        <v>5000000</v>
      </c>
      <c r="D40" t="s">
        <v>25</v>
      </c>
      <c r="R40" s="14" t="e">
        <f>AVERAGEIF(R34:R38, "&lt;&gt;0")</f>
        <v>#DIV/0!</v>
      </c>
    </row>
    <row r="41" spans="1:18" x14ac:dyDescent="0.3">
      <c r="A41" s="17" t="s">
        <v>19</v>
      </c>
      <c r="B41" s="17">
        <f>E19</f>
        <v>56.93</v>
      </c>
      <c r="C41" s="18">
        <f>C39/10</f>
        <v>1000000</v>
      </c>
    </row>
    <row r="42" spans="1:18" x14ac:dyDescent="0.3">
      <c r="A42" s="17" t="s">
        <v>20</v>
      </c>
      <c r="B42" s="17">
        <f>E28</f>
        <v>37.340000000000003</v>
      </c>
      <c r="C42" s="18">
        <f>C41/2</f>
        <v>500000</v>
      </c>
      <c r="K42" s="2" t="s">
        <v>12</v>
      </c>
      <c r="L42" s="2" t="s">
        <v>17</v>
      </c>
      <c r="M42" s="2" t="s">
        <v>13</v>
      </c>
      <c r="N42" s="2" t="s">
        <v>14</v>
      </c>
      <c r="O42" s="2" t="s">
        <v>15</v>
      </c>
      <c r="P42" s="16" t="s">
        <v>16</v>
      </c>
      <c r="Q42" s="2" t="s">
        <v>17</v>
      </c>
      <c r="R42" s="16" t="s">
        <v>18</v>
      </c>
    </row>
    <row r="43" spans="1:18" x14ac:dyDescent="0.3">
      <c r="A43" s="17" t="s">
        <v>19</v>
      </c>
      <c r="B43" s="17">
        <f>E20</f>
        <v>11.37</v>
      </c>
      <c r="C43" s="18">
        <f>C41/10</f>
        <v>100000</v>
      </c>
      <c r="K43" s="23">
        <v>4</v>
      </c>
      <c r="L43" s="19" t="s">
        <v>32</v>
      </c>
      <c r="M43" s="1"/>
      <c r="N43" s="1"/>
      <c r="O43" s="17" t="e">
        <f>AVERAGE(M43,N43)</f>
        <v>#DIV/0!</v>
      </c>
      <c r="P43" s="18" t="e">
        <f>$A$67*EXP($B$67*O$43)</f>
        <v>#DIV/0!</v>
      </c>
      <c r="Q43" s="17" t="e">
        <f>IF(AND(O43&lt;95,O43&gt;5,O44&lt;90),2,0)</f>
        <v>#DIV/0!</v>
      </c>
      <c r="R43" s="18" t="e">
        <f>P43*Q43</f>
        <v>#DIV/0!</v>
      </c>
    </row>
    <row r="44" spans="1:18" x14ac:dyDescent="0.3">
      <c r="A44" s="17" t="s">
        <v>20</v>
      </c>
      <c r="B44" s="17">
        <f>E29</f>
        <v>6.33</v>
      </c>
      <c r="C44" s="18">
        <f>C43/2</f>
        <v>50000</v>
      </c>
      <c r="D44" t="s">
        <v>25</v>
      </c>
      <c r="K44" s="24"/>
      <c r="L44" s="19" t="s">
        <v>33</v>
      </c>
      <c r="M44" s="1"/>
      <c r="N44" s="1"/>
      <c r="O44" s="17" t="e">
        <f>AVERAGE(M44,N44)</f>
        <v>#DIV/0!</v>
      </c>
      <c r="P44" s="18" t="e">
        <f>$A$67*EXP($B$67*O44)</f>
        <v>#DIV/0!</v>
      </c>
      <c r="Q44" s="17" t="e">
        <f>IF(AND(O44&lt;95,O44&gt;5,O43&gt;5),10,0)</f>
        <v>#DIV/0!</v>
      </c>
      <c r="R44" s="18" t="e">
        <f>P44*Q44</f>
        <v>#DIV/0!</v>
      </c>
    </row>
    <row r="45" spans="1:18" x14ac:dyDescent="0.3">
      <c r="K45" s="24"/>
      <c r="L45" s="19" t="s">
        <v>34</v>
      </c>
      <c r="M45" s="1"/>
      <c r="N45" s="1"/>
      <c r="O45" s="17" t="e">
        <f t="shared" ref="O45:O48" si="8">AVERAGE(M45,N45)</f>
        <v>#DIV/0!</v>
      </c>
      <c r="P45" s="18" t="e">
        <f>$A$67*EXP($B$67*O45)</f>
        <v>#DIV/0!</v>
      </c>
      <c r="Q45" s="17" t="e">
        <f>IF(AND(O45&lt;95,O45&gt;5,O44&gt;5),100,0)</f>
        <v>#DIV/0!</v>
      </c>
      <c r="R45" s="18" t="e">
        <f t="shared" ref="R45:R47" si="9">P45*Q45</f>
        <v>#DIV/0!</v>
      </c>
    </row>
    <row r="46" spans="1:18" x14ac:dyDescent="0.3">
      <c r="K46" s="24"/>
      <c r="L46" s="19" t="s">
        <v>35</v>
      </c>
      <c r="M46" s="1"/>
      <c r="N46" s="1"/>
      <c r="O46" s="17" t="e">
        <f t="shared" si="8"/>
        <v>#DIV/0!</v>
      </c>
      <c r="P46" s="18" t="e">
        <f>$A$67*EXP($B$67*O46)</f>
        <v>#DIV/0!</v>
      </c>
      <c r="Q46" s="17" t="e">
        <f>IF(AND(O46&lt;95,O46&gt;5,O45&gt;5),1000,0)</f>
        <v>#DIV/0!</v>
      </c>
      <c r="R46" s="18" t="e">
        <f t="shared" si="9"/>
        <v>#DIV/0!</v>
      </c>
    </row>
    <row r="47" spans="1:18" x14ac:dyDescent="0.3">
      <c r="K47" s="25"/>
      <c r="L47" s="19" t="s">
        <v>36</v>
      </c>
      <c r="M47" s="1"/>
      <c r="N47" s="1"/>
      <c r="O47" s="17" t="e">
        <f t="shared" si="8"/>
        <v>#DIV/0!</v>
      </c>
      <c r="P47" s="18" t="e">
        <f>$A$67*EXP($B$67*O47)</f>
        <v>#DIV/0!</v>
      </c>
      <c r="Q47" s="17" t="e">
        <f>IF(AND(O47&lt;95,O47&gt;5,O46&gt;5),10000,0)</f>
        <v>#DIV/0!</v>
      </c>
      <c r="R47" s="18" t="e">
        <f t="shared" si="9"/>
        <v>#DIV/0!</v>
      </c>
    </row>
    <row r="48" spans="1:18" x14ac:dyDescent="0.3">
      <c r="L48" s="19" t="s">
        <v>37</v>
      </c>
      <c r="M48" s="1"/>
      <c r="N48" s="1"/>
      <c r="O48" s="17" t="e">
        <f t="shared" si="8"/>
        <v>#DIV/0!</v>
      </c>
      <c r="P48" s="18" t="e">
        <f>$A$67*EXP($B$67*O48)</f>
        <v>#DIV/0!</v>
      </c>
      <c r="Q48" s="17" t="e">
        <f>IF(AND(O48&lt;95,O48&gt;5,O47&gt;5),100000,0)</f>
        <v>#DIV/0!</v>
      </c>
      <c r="R48" s="17" t="e">
        <f>P48*Q48</f>
        <v>#DIV/0!</v>
      </c>
    </row>
    <row r="49" spans="1:18" x14ac:dyDescent="0.3">
      <c r="R49" s="14" t="e">
        <f>AVERAGEIF(R43:R47, "&lt;&gt;0")</f>
        <v>#DIV/0!</v>
      </c>
    </row>
    <row r="51" spans="1:18" x14ac:dyDescent="0.3">
      <c r="K51" s="2" t="s">
        <v>12</v>
      </c>
      <c r="L51" s="2" t="s">
        <v>17</v>
      </c>
      <c r="M51" s="2" t="s">
        <v>13</v>
      </c>
      <c r="N51" s="2" t="s">
        <v>14</v>
      </c>
      <c r="O51" s="2" t="s">
        <v>15</v>
      </c>
      <c r="P51" s="16" t="s">
        <v>16</v>
      </c>
      <c r="Q51" s="2" t="s">
        <v>17</v>
      </c>
      <c r="R51" s="16" t="s">
        <v>18</v>
      </c>
    </row>
    <row r="52" spans="1:18" x14ac:dyDescent="0.3">
      <c r="K52" s="23">
        <v>5</v>
      </c>
      <c r="L52" s="19" t="s">
        <v>32</v>
      </c>
      <c r="M52" s="1"/>
      <c r="N52" s="1"/>
      <c r="O52" s="17" t="e">
        <f t="shared" ref="O52:O57" si="10">AVERAGE(M52,N52)</f>
        <v>#DIV/0!</v>
      </c>
      <c r="P52" s="18" t="e">
        <f t="shared" ref="P52:P57" si="11">$A$67*EXP($B$67*O52)</f>
        <v>#DIV/0!</v>
      </c>
      <c r="Q52" s="17" t="e">
        <f>IF(AND(O52&lt;95,O52&gt;5,O53&lt;90),2,0)</f>
        <v>#DIV/0!</v>
      </c>
      <c r="R52" s="18" t="e">
        <f>P52*Q52</f>
        <v>#DIV/0!</v>
      </c>
    </row>
    <row r="53" spans="1:18" x14ac:dyDescent="0.3">
      <c r="K53" s="24"/>
      <c r="L53" s="19" t="s">
        <v>33</v>
      </c>
      <c r="M53" s="1"/>
      <c r="N53" s="1"/>
      <c r="O53" s="17" t="e">
        <f t="shared" si="10"/>
        <v>#DIV/0!</v>
      </c>
      <c r="P53" s="18" t="e">
        <f t="shared" si="11"/>
        <v>#DIV/0!</v>
      </c>
      <c r="Q53" s="17" t="e">
        <f>IF(AND(O53&lt;95,O53&gt;5,O52&gt;5),10,0)</f>
        <v>#DIV/0!</v>
      </c>
      <c r="R53" s="18" t="e">
        <f>P53*Q53</f>
        <v>#DIV/0!</v>
      </c>
    </row>
    <row r="54" spans="1:18" x14ac:dyDescent="0.3">
      <c r="K54" s="24"/>
      <c r="L54" s="19" t="s">
        <v>34</v>
      </c>
      <c r="M54" s="1"/>
      <c r="N54" s="1"/>
      <c r="O54" s="17" t="e">
        <f t="shared" si="10"/>
        <v>#DIV/0!</v>
      </c>
      <c r="P54" s="18" t="e">
        <f t="shared" si="11"/>
        <v>#DIV/0!</v>
      </c>
      <c r="Q54" s="17" t="e">
        <f>IF(AND(O54&lt;95,O54&gt;5,O53&gt;5),100,0)</f>
        <v>#DIV/0!</v>
      </c>
      <c r="R54" s="18" t="e">
        <f>P54*Q54</f>
        <v>#DIV/0!</v>
      </c>
    </row>
    <row r="55" spans="1:18" x14ac:dyDescent="0.3">
      <c r="K55" s="24"/>
      <c r="L55" s="19" t="s">
        <v>35</v>
      </c>
      <c r="M55" s="1"/>
      <c r="N55" s="1"/>
      <c r="O55" s="17" t="e">
        <f t="shared" si="10"/>
        <v>#DIV/0!</v>
      </c>
      <c r="P55" s="18" t="e">
        <f t="shared" si="11"/>
        <v>#DIV/0!</v>
      </c>
      <c r="Q55" s="17" t="e">
        <f>IF(AND(O55&lt;95,O55&gt;5,O54&gt;5),1000,0)</f>
        <v>#DIV/0!</v>
      </c>
      <c r="R55" s="18" t="e">
        <f>P55*Q55</f>
        <v>#DIV/0!</v>
      </c>
    </row>
    <row r="56" spans="1:18" x14ac:dyDescent="0.3">
      <c r="K56" s="25"/>
      <c r="L56" s="19" t="s">
        <v>36</v>
      </c>
      <c r="M56" s="1"/>
      <c r="N56" s="1"/>
      <c r="O56" s="17" t="e">
        <f t="shared" si="10"/>
        <v>#DIV/0!</v>
      </c>
      <c r="P56" s="18" t="e">
        <f t="shared" si="11"/>
        <v>#DIV/0!</v>
      </c>
      <c r="Q56" s="17" t="e">
        <f>IF(AND(O56&lt;95,O56&gt;5,O55&gt;5),10000,0)</f>
        <v>#DIV/0!</v>
      </c>
      <c r="R56" s="18" t="e">
        <f t="shared" ref="R56" si="12">P56*Q56</f>
        <v>#DIV/0!</v>
      </c>
    </row>
    <row r="57" spans="1:18" x14ac:dyDescent="0.3">
      <c r="L57" s="19" t="s">
        <v>37</v>
      </c>
      <c r="M57" s="1"/>
      <c r="N57" s="1"/>
      <c r="O57" s="17" t="e">
        <f t="shared" si="10"/>
        <v>#DIV/0!</v>
      </c>
      <c r="P57" s="18" t="e">
        <f t="shared" si="11"/>
        <v>#DIV/0!</v>
      </c>
      <c r="Q57" s="17" t="e">
        <f>IF(AND(O57&lt;95,O57&gt;5,O56&gt;5),100000,0)</f>
        <v>#DIV/0!</v>
      </c>
      <c r="R57" s="18" t="e">
        <f>P57*Q57</f>
        <v>#DIV/0!</v>
      </c>
    </row>
    <row r="58" spans="1:18" x14ac:dyDescent="0.3">
      <c r="R58" s="14" t="e">
        <f>AVERAGEIF(R52:R56, "&lt;&gt;0")</f>
        <v>#DIV/0!</v>
      </c>
    </row>
    <row r="60" spans="1:18" x14ac:dyDescent="0.3">
      <c r="K60" s="2" t="s">
        <v>12</v>
      </c>
      <c r="L60" s="2" t="s">
        <v>17</v>
      </c>
      <c r="M60" s="2" t="s">
        <v>13</v>
      </c>
      <c r="N60" s="2" t="s">
        <v>14</v>
      </c>
      <c r="O60" s="2" t="s">
        <v>15</v>
      </c>
      <c r="P60" s="16" t="s">
        <v>16</v>
      </c>
      <c r="Q60" s="2" t="s">
        <v>17</v>
      </c>
      <c r="R60" s="16" t="s">
        <v>18</v>
      </c>
    </row>
    <row r="61" spans="1:18" x14ac:dyDescent="0.3">
      <c r="A61" t="s">
        <v>26</v>
      </c>
      <c r="K61" s="23">
        <v>6</v>
      </c>
      <c r="L61" s="19" t="s">
        <v>32</v>
      </c>
      <c r="M61" s="1"/>
      <c r="N61" s="1"/>
      <c r="O61" s="17" t="e">
        <f t="shared" ref="O61:O66" si="13">AVERAGE(M61,N61)</f>
        <v>#DIV/0!</v>
      </c>
      <c r="P61" s="18" t="e">
        <f t="shared" ref="P61:P66" si="14">$A$67*EXP($B$67*O61)</f>
        <v>#DIV/0!</v>
      </c>
      <c r="Q61" s="17" t="e">
        <f>IF(AND(O61&lt;95,O61&gt;5,O62&lt;90),2,0)</f>
        <v>#DIV/0!</v>
      </c>
      <c r="R61" s="18" t="e">
        <f>P61*Q61</f>
        <v>#DIV/0!</v>
      </c>
    </row>
    <row r="62" spans="1:18" x14ac:dyDescent="0.3">
      <c r="A62" t="s">
        <v>27</v>
      </c>
      <c r="K62" s="24"/>
      <c r="L62" s="19" t="s">
        <v>33</v>
      </c>
      <c r="M62" s="1"/>
      <c r="N62" s="1"/>
      <c r="O62" s="17" t="e">
        <f t="shared" si="13"/>
        <v>#DIV/0!</v>
      </c>
      <c r="P62" s="18" t="e">
        <f t="shared" si="14"/>
        <v>#DIV/0!</v>
      </c>
      <c r="Q62" s="17" t="e">
        <f>IF(AND(O62&lt;95,O62&gt;5,O61&gt;5),10,0)</f>
        <v>#DIV/0!</v>
      </c>
      <c r="R62" s="18" t="e">
        <f>P62*Q62</f>
        <v>#DIV/0!</v>
      </c>
    </row>
    <row r="63" spans="1:18" x14ac:dyDescent="0.3">
      <c r="A63" t="s">
        <v>28</v>
      </c>
      <c r="K63" s="24"/>
      <c r="L63" s="19" t="s">
        <v>34</v>
      </c>
      <c r="M63" s="1"/>
      <c r="N63" s="1"/>
      <c r="O63" s="17" t="e">
        <f t="shared" si="13"/>
        <v>#DIV/0!</v>
      </c>
      <c r="P63" s="18" t="e">
        <f t="shared" si="14"/>
        <v>#DIV/0!</v>
      </c>
      <c r="Q63" s="17" t="e">
        <f>IF(AND(O63&lt;95,O63&gt;5,O62&gt;5),100,0)</f>
        <v>#DIV/0!</v>
      </c>
      <c r="R63" s="18" t="e">
        <f t="shared" ref="R63:R65" si="15">P63*Q63</f>
        <v>#DIV/0!</v>
      </c>
    </row>
    <row r="64" spans="1:18" x14ac:dyDescent="0.3">
      <c r="A64" s="10" cm="1">
        <f t="array" ref="A64:B64">EXP(LINEST(LN(C40:C44), B40:B44))</f>
        <v>1.052701825677042</v>
      </c>
      <c r="B64" s="11">
        <v>50907.274234411889</v>
      </c>
      <c r="K64" s="24"/>
      <c r="L64" s="19" t="s">
        <v>35</v>
      </c>
      <c r="M64" s="1"/>
      <c r="N64" s="1"/>
      <c r="O64" s="17" t="e">
        <f t="shared" si="13"/>
        <v>#DIV/0!</v>
      </c>
      <c r="P64" s="18" t="e">
        <f t="shared" si="14"/>
        <v>#DIV/0!</v>
      </c>
      <c r="Q64" s="17" t="e">
        <f>IF(AND(O64&lt;95,O64&gt;5,O63&gt;5),1000,0)</f>
        <v>#DIV/0!</v>
      </c>
      <c r="R64" s="18" t="e">
        <f t="shared" si="15"/>
        <v>#DIV/0!</v>
      </c>
    </row>
    <row r="65" spans="1:18" x14ac:dyDescent="0.3">
      <c r="A65" t="s">
        <v>29</v>
      </c>
      <c r="K65" s="25"/>
      <c r="L65" s="19" t="s">
        <v>36</v>
      </c>
      <c r="M65" s="1"/>
      <c r="N65" s="1"/>
      <c r="O65" s="17" t="e">
        <f t="shared" si="13"/>
        <v>#DIV/0!</v>
      </c>
      <c r="P65" s="18" t="e">
        <f t="shared" si="14"/>
        <v>#DIV/0!</v>
      </c>
      <c r="Q65" s="17" t="e">
        <f>IF(AND(O65&lt;95,O65&gt;5,O64&gt;5),10000,0)</f>
        <v>#DIV/0!</v>
      </c>
      <c r="R65" s="18" t="e">
        <f t="shared" si="15"/>
        <v>#DIV/0!</v>
      </c>
    </row>
    <row r="66" spans="1:18" x14ac:dyDescent="0.3">
      <c r="A66" s="6" t="s">
        <v>30</v>
      </c>
      <c r="B66" s="8" t="s">
        <v>31</v>
      </c>
      <c r="L66" s="19" t="s">
        <v>37</v>
      </c>
      <c r="M66" s="1"/>
      <c r="N66" s="1"/>
      <c r="O66" s="17" t="e">
        <f t="shared" si="13"/>
        <v>#DIV/0!</v>
      </c>
      <c r="P66" s="18" t="e">
        <f t="shared" si="14"/>
        <v>#DIV/0!</v>
      </c>
      <c r="Q66" s="17" t="e">
        <f>IF(AND(O66&lt;95,O66&gt;5,O65&gt;5),100000,0)</f>
        <v>#DIV/0!</v>
      </c>
      <c r="R66" s="17" t="e">
        <f>P66*Q66</f>
        <v>#DIV/0!</v>
      </c>
    </row>
    <row r="67" spans="1:18" x14ac:dyDescent="0.3">
      <c r="A67" s="7">
        <f>B64</f>
        <v>50907.274234411889</v>
      </c>
      <c r="B67" s="9">
        <f>LN(A64)</f>
        <v>5.1360026554099839E-2</v>
      </c>
      <c r="R67" s="14" t="e">
        <f>AVERAGEIF(R61:R65, "&lt;&gt;0")</f>
        <v>#DIV/0!</v>
      </c>
    </row>
  </sheetData>
  <mergeCells count="8">
    <mergeCell ref="K43:K47"/>
    <mergeCell ref="K52:K56"/>
    <mergeCell ref="K61:K65"/>
    <mergeCell ref="A16:A20"/>
    <mergeCell ref="A25:A29"/>
    <mergeCell ref="K16:K20"/>
    <mergeCell ref="K25:K29"/>
    <mergeCell ref="K34:K3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Thera Slayton</dc:creator>
  <cp:keywords/>
  <dc:description/>
  <cp:lastModifiedBy>Abby Franzen</cp:lastModifiedBy>
  <cp:revision/>
  <dcterms:created xsi:type="dcterms:W3CDTF">2025-08-27T01:14:52Z</dcterms:created>
  <dcterms:modified xsi:type="dcterms:W3CDTF">2025-09-04T21:22:58Z</dcterms:modified>
  <cp:category/>
  <cp:contentStatus/>
</cp:coreProperties>
</file>